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v\Desktop\4. PSL.KAINOS\NUOTEKOS TARŠA\2026 SKAIČIUOKLĖ\2026 SKAIČIUOKLĖ į KRVAN psl\"/>
    </mc:Choice>
  </mc:AlternateContent>
  <xr:revisionPtr revIDLastSave="0" documentId="13_ncr:1_{B27C2755-1776-428E-A042-25418F35F438}" xr6:coauthVersionLast="47" xr6:coauthVersionMax="47" xr10:uidLastSave="{00000000-0000-0000-0000-000000000000}"/>
  <bookViews>
    <workbookView xWindow="28690" yWindow="4500" windowWidth="29020" windowHeight="15700" xr2:uid="{A7EB95ED-46A2-41F5-B15E-38DAEEBE108D}"/>
  </bookViews>
  <sheets>
    <sheet name="Skaičiavimas pagal sutartį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19" i="1"/>
  <c r="H18" i="1"/>
  <c r="G23" i="1" l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22" i="1"/>
  <c r="H22" i="1" s="1"/>
  <c r="F13" i="1"/>
  <c r="F11" i="1" l="1"/>
</calcChain>
</file>

<file path=xl/sharedStrings.xml><?xml version="1.0" encoding="utf-8"?>
<sst xmlns="http://schemas.openxmlformats.org/spreadsheetml/2006/main" count="107" uniqueCount="69">
  <si>
    <t>Nuotekų tarifo skaičiavimas pagal sutartyje deklaruotas taršos elementų koncentracijas</t>
  </si>
  <si>
    <t>įveskite reikšmes</t>
  </si>
  <si>
    <t>pažymėtuose langeliuose</t>
  </si>
  <si>
    <t>Sutartinė nuotekų tvarkymo kaina (Eur/m³ be PVM):</t>
  </si>
  <si>
    <t>(apskaičiuota kaina)</t>
  </si>
  <si>
    <t>Nuotekų tvarkymo paslaugos bazinė kaina  (Eur/m³ ):</t>
  </si>
  <si>
    <t>(fiksuota kaina)</t>
  </si>
  <si>
    <t>Indeksavimo koeficientas:</t>
  </si>
  <si>
    <t>Eil.Nr</t>
  </si>
  <si>
    <t>Rodiklis</t>
  </si>
  <si>
    <t>Ribinė koncentracija,mg/l</t>
  </si>
  <si>
    <t>Tarifas,
Eur/t</t>
  </si>
  <si>
    <t>Deklaruojama, mg/l</t>
  </si>
  <si>
    <t>Tarifas,
Eur/mg</t>
  </si>
  <si>
    <t>BDS7</t>
  </si>
  <si>
    <t>Skendinčiosios medžiagos</t>
  </si>
  <si>
    <t>Bendrasis azotas</t>
  </si>
  <si>
    <t>Bendrasis fosforas</t>
  </si>
  <si>
    <t>Bendrasis chromas</t>
  </si>
  <si>
    <t>Varis</t>
  </si>
  <si>
    <t>Cinkas</t>
  </si>
  <si>
    <t>Nikelis</t>
  </si>
  <si>
    <t>Naftos produktai</t>
  </si>
  <si>
    <t>Sintetinės veiklios paviršinės medžiagos (anijoninės) (detergentai)</t>
  </si>
  <si>
    <t>Gyvsidabris</t>
  </si>
  <si>
    <t>Kadmis</t>
  </si>
  <si>
    <t>Švinas</t>
  </si>
  <si>
    <t>Alavas</t>
  </si>
  <si>
    <t>Arsenas</t>
  </si>
  <si>
    <t>Aliuminis</t>
  </si>
  <si>
    <t>Vanadis</t>
  </si>
  <si>
    <t>Riebalai</t>
  </si>
  <si>
    <t>Sulfatai</t>
  </si>
  <si>
    <t>Chloridai</t>
  </si>
  <si>
    <t>Benzenas</t>
  </si>
  <si>
    <t>C10-13-chloralkanai</t>
  </si>
  <si>
    <t>Metilenchloridas (Dichlormetanas)</t>
  </si>
  <si>
    <t>Pentachlorbenzenas</t>
  </si>
  <si>
    <t>Tributilalavo junginiai</t>
  </si>
  <si>
    <t>Tributilalavo-katijonai</t>
  </si>
  <si>
    <t>Antracenas</t>
  </si>
  <si>
    <t>Benz (a)pirenas</t>
  </si>
  <si>
    <t>Benz (b) fluoroantenas</t>
  </si>
  <si>
    <t>Benz (g,h,i) perilinas</t>
  </si>
  <si>
    <t>Benz (k) fluoroantenas</t>
  </si>
  <si>
    <t>Fluoroantenas</t>
  </si>
  <si>
    <t>Indeno(1,2,3-cd)pirenas</t>
  </si>
  <si>
    <t>Naftalenas</t>
  </si>
  <si>
    <t>Trifluralinas</t>
  </si>
  <si>
    <t>Di(2-etilheksil) ftalatas</t>
  </si>
  <si>
    <t>Chromas-šešiavalentis</t>
  </si>
  <si>
    <t>Fenoliai</t>
  </si>
  <si>
    <t>Sulfidai (mineraliniai)</t>
  </si>
  <si>
    <t>Chloras (aktyvusis)</t>
  </si>
  <si>
    <t>Cianidai</t>
  </si>
  <si>
    <t>Fluoridai</t>
  </si>
  <si>
    <t>Dibutilftalatas </t>
  </si>
  <si>
    <t>Sintetinės veiklios paviršinės medžiagos (ne joninės)</t>
  </si>
  <si>
    <t>perfluoroktansulfonrūgštis</t>
  </si>
  <si>
    <t>III/B1</t>
  </si>
  <si>
    <t>II</t>
  </si>
  <si>
    <t>IV/B1</t>
  </si>
  <si>
    <t>V/B2</t>
  </si>
  <si>
    <t>I</t>
  </si>
  <si>
    <t>Pavojingumo grupė</t>
  </si>
  <si>
    <t>Paskaičiuota su koeficientu</t>
  </si>
  <si>
    <t>Nonilfenoliai</t>
  </si>
  <si>
    <t>Oktilfenolis</t>
  </si>
  <si>
    <t>pilkai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</si>
</sst>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_-"/>
    <numFmt numFmtId="165" formatCode="0.000"/>
    <numFmt numFmtId="166" formatCode="#,##0.000_ ;\-#,##0.000\ "/>
  </numFmts>
  <fonts count="11" x14ac:knownFonts="1">
    <font>
      <sz val="11"/>
      <color theme="1"/>
      <name val="Times New Roman"/>
      <family val="2"/>
      <charset val="186"/>
    </font>
    <font>
      <sz val="11"/>
      <color theme="1"/>
      <name val="Calibri Light"/>
      <family val="2"/>
      <charset val="186"/>
    </font>
    <font>
      <i/>
      <sz val="9"/>
      <color theme="1"/>
      <name val="Calibri Light"/>
      <family val="2"/>
      <charset val="186"/>
    </font>
    <font>
      <sz val="9"/>
      <color theme="1"/>
      <name val="Calibri Light"/>
      <family val="2"/>
      <charset val="186"/>
    </font>
    <font>
      <i/>
      <sz val="11"/>
      <color rgb="FF414042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i/>
      <sz val="11"/>
      <color theme="1"/>
      <name val="Calibri Light"/>
      <family val="2"/>
      <charset val="186"/>
    </font>
    <font>
      <b/>
      <i/>
      <sz val="9"/>
      <color rgb="FF414042"/>
      <name val="Calibri Light"/>
      <family val="2"/>
      <charset val="186"/>
    </font>
    <font>
      <b/>
      <sz val="9"/>
      <color theme="0"/>
      <name val="Calibri Light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8" fillId="3" borderId="4" xfId="0" applyFont="1" applyFill="1" applyBorder="1" applyAlignment="1">
      <alignment horizontal="center" vertical="center" wrapText="1"/>
    </xf>
    <xf numFmtId="166" fontId="10" fillId="0" borderId="0" xfId="1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2">
    <cellStyle name="Įprastas" xfId="0" builtinId="0"/>
    <cellStyle name="Įprastas 2" xfId="1" xr:uid="{A322F158-0B0E-4E1E-B4AF-C58EECBF0935}"/>
  </cellStyles>
  <dxfs count="7">
    <dxf>
      <numFmt numFmtId="165" formatCode="0.000"/>
      <alignment horizontal="center" textRotation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FFFFF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charset val="186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1911350</xdr:colOff>
      <xdr:row>4</xdr:row>
      <xdr:rowOff>155872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E28B049-05E4-4163-9DAD-0A218409C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0"/>
          <a:ext cx="1911350" cy="867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11811-1896-40F1-B732-AF0E90166C11}" name="Lentelė2" displayName="Lentelė2" ref="A17:H64" totalsRowShown="0" headerRowDxfId="6" tableBorderDxfId="5">
  <autoFilter ref="A17:H64" xr:uid="{78411811-1896-40F1-B732-AF0E90166C11}"/>
  <tableColumns count="8">
    <tableColumn id="1" xr3:uid="{D1849AEA-C478-4A47-81D9-861275F9D389}" name="Pavojingumo grupė" dataDxfId="4"/>
    <tableColumn id="2" xr3:uid="{C5B4BB32-DDE9-467D-AC03-E410AFDC01D8}" name="Eil.Nr" dataDxfId="3"/>
    <tableColumn id="3" xr3:uid="{46E507F6-9846-45D6-9C30-AFA20840A0D0}" name="Rodiklis"/>
    <tableColumn id="4" xr3:uid="{9251A379-AAC8-40B2-850A-486406166320}" name="Ribinė koncentracija,mg/l" dataDxfId="2"/>
    <tableColumn id="5" xr3:uid="{C0DDAEDC-E7CB-4AFD-958D-994B4AA7C574}" name="Tarifas,_x000a_Eur/t"/>
    <tableColumn id="6" xr3:uid="{9D25B26D-8A30-4E39-8AE4-23E4628D7727}" name="Deklaruojama, mg/l" dataDxfId="1"/>
    <tableColumn id="7" xr3:uid="{7D09CD38-9163-4A41-AB5C-FD0E64B66ED0}" name="Tarifas,_x000a_Eur/mg">
      <calculatedColumnFormula>+E18/1000/1000</calculatedColumnFormula>
    </tableColumn>
    <tableColumn id="8" xr3:uid="{2712E829-AA41-49F2-937F-19CA3986766D}" name="Paskaičiuota su koeficientu" dataDxfId="0">
      <calculatedColumnFormula>IF(Lentelė2[[#This Row],[Tarifas,
Eur/t]]="",IF(F18&gt;D18,ROUNDUP((F18-D18)/100,0)*G18,0),IF(F18&gt;D18,ROUND($G$15*(F18-D18)*(G18),3),0))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C2D2-822B-459E-B22D-2FCDB8B9D161}">
  <dimension ref="A7:H64"/>
  <sheetViews>
    <sheetView tabSelected="1" zoomScaleNormal="100" workbookViewId="0">
      <selection activeCell="F13" sqref="F13:G13"/>
    </sheetView>
  </sheetViews>
  <sheetFormatPr defaultRowHeight="14" customHeight="1" x14ac:dyDescent="0.3"/>
  <cols>
    <col min="1" max="1" width="10.90625" style="10" customWidth="1"/>
    <col min="3" max="3" width="28.08984375" customWidth="1"/>
    <col min="4" max="4" width="11.26953125" style="20" customWidth="1"/>
    <col min="5" max="5" width="10.6328125" customWidth="1"/>
    <col min="6" max="6" width="9.36328125" customWidth="1"/>
    <col min="8" max="8" width="13.54296875" style="10" customWidth="1"/>
    <col min="11" max="11" width="8.6328125" customWidth="1"/>
  </cols>
  <sheetData>
    <row r="7" spans="1:7" ht="14" customHeight="1" x14ac:dyDescent="0.35">
      <c r="A7" s="26" t="s">
        <v>0</v>
      </c>
      <c r="B7" s="26"/>
      <c r="C7" s="26"/>
      <c r="D7" s="26"/>
      <c r="E7" s="26"/>
      <c r="F7" s="26"/>
      <c r="G7" s="26"/>
    </row>
    <row r="8" spans="1:7" ht="14" customHeight="1" x14ac:dyDescent="0.35">
      <c r="A8" s="1"/>
      <c r="B8" s="1"/>
      <c r="C8" s="1"/>
      <c r="D8" s="18"/>
      <c r="E8" s="1"/>
      <c r="F8" s="1"/>
      <c r="G8" s="1"/>
    </row>
    <row r="9" spans="1:7" ht="14" customHeight="1" x14ac:dyDescent="0.3">
      <c r="A9" s="27" t="s">
        <v>1</v>
      </c>
      <c r="B9" s="27"/>
      <c r="C9" s="2" t="s">
        <v>68</v>
      </c>
      <c r="D9" s="28" t="s">
        <v>2</v>
      </c>
      <c r="E9" s="28"/>
      <c r="F9" s="3"/>
      <c r="G9" s="3"/>
    </row>
    <row r="10" spans="1:7" ht="14" customHeight="1" x14ac:dyDescent="0.35">
      <c r="A10" s="6"/>
      <c r="B10" s="4"/>
      <c r="C10" s="5"/>
      <c r="D10" s="19"/>
      <c r="E10" s="4"/>
      <c r="F10" s="4"/>
      <c r="G10" s="6"/>
    </row>
    <row r="11" spans="1:7" ht="14" customHeight="1" x14ac:dyDescent="0.35">
      <c r="A11" s="29" t="s">
        <v>3</v>
      </c>
      <c r="B11" s="29"/>
      <c r="C11" s="29"/>
      <c r="D11" s="29"/>
      <c r="E11" s="29"/>
      <c r="F11" s="23">
        <f>ROUND(SUM(Lentelė2[Paskaičiuota su koeficientu])+F13,3)</f>
        <v>2.39</v>
      </c>
      <c r="G11" s="23"/>
    </row>
    <row r="12" spans="1:7" ht="14" customHeight="1" x14ac:dyDescent="0.35">
      <c r="A12" s="6"/>
      <c r="B12" s="4"/>
      <c r="C12" s="7"/>
      <c r="D12" s="18"/>
      <c r="E12" s="4"/>
      <c r="F12" s="30" t="s">
        <v>4</v>
      </c>
      <c r="G12" s="30"/>
    </row>
    <row r="13" spans="1:7" ht="14" customHeight="1" x14ac:dyDescent="0.35">
      <c r="A13" s="22" t="s">
        <v>5</v>
      </c>
      <c r="B13" s="22"/>
      <c r="C13" s="22"/>
      <c r="D13" s="22"/>
      <c r="E13" s="22"/>
      <c r="F13" s="23">
        <f>2.39</f>
        <v>2.39</v>
      </c>
      <c r="G13" s="23"/>
    </row>
    <row r="14" spans="1:7" ht="14" customHeight="1" x14ac:dyDescent="0.35">
      <c r="A14" s="6"/>
      <c r="B14" s="8"/>
      <c r="C14" s="7"/>
      <c r="D14" s="18"/>
      <c r="E14" s="4"/>
      <c r="F14" s="24" t="s">
        <v>6</v>
      </c>
      <c r="G14" s="24"/>
    </row>
    <row r="15" spans="1:7" ht="14" customHeight="1" x14ac:dyDescent="0.35">
      <c r="A15" s="1"/>
      <c r="B15" s="7"/>
      <c r="C15" s="25" t="s">
        <v>7</v>
      </c>
      <c r="D15" s="25"/>
      <c r="E15" s="25"/>
      <c r="F15" s="25"/>
      <c r="G15" s="9">
        <v>1.4810000000000001</v>
      </c>
    </row>
    <row r="17" spans="1:8" ht="47.5" customHeight="1" thickBot="1" x14ac:dyDescent="0.35">
      <c r="A17" s="11" t="s">
        <v>64</v>
      </c>
      <c r="B17" s="11" t="s">
        <v>8</v>
      </c>
      <c r="C17" s="12" t="s">
        <v>9</v>
      </c>
      <c r="D17" s="12" t="s">
        <v>10</v>
      </c>
      <c r="E17" s="12" t="s">
        <v>11</v>
      </c>
      <c r="F17" s="13" t="s">
        <v>12</v>
      </c>
      <c r="G17" s="13" t="s">
        <v>13</v>
      </c>
      <c r="H17" s="16" t="s">
        <v>65</v>
      </c>
    </row>
    <row r="18" spans="1:8" ht="14" customHeight="1" x14ac:dyDescent="0.3">
      <c r="B18" s="10">
        <v>1</v>
      </c>
      <c r="C18" t="s">
        <v>14</v>
      </c>
      <c r="D18" s="20">
        <v>350</v>
      </c>
      <c r="F18" s="21">
        <v>0</v>
      </c>
      <c r="G18">
        <v>4.5999999999999999E-2</v>
      </c>
      <c r="H18" s="17">
        <f>IF(F18&gt;D18,SUM((F18-D18)/100,0)*G18,0)</f>
        <v>0</v>
      </c>
    </row>
    <row r="19" spans="1:8" ht="14" customHeight="1" x14ac:dyDescent="0.3">
      <c r="B19" s="10">
        <v>2</v>
      </c>
      <c r="C19" t="s">
        <v>15</v>
      </c>
      <c r="D19" s="20">
        <v>350</v>
      </c>
      <c r="F19" s="21">
        <v>0</v>
      </c>
      <c r="G19" s="15">
        <v>0.03</v>
      </c>
      <c r="H19" s="17">
        <f>IF(F19&gt;D19,SUM((F19-D19)/100,0)*G19,0)</f>
        <v>0</v>
      </c>
    </row>
    <row r="20" spans="1:8" ht="14" customHeight="1" x14ac:dyDescent="0.3">
      <c r="B20" s="10">
        <v>3</v>
      </c>
      <c r="C20" t="s">
        <v>16</v>
      </c>
      <c r="D20" s="20">
        <v>50</v>
      </c>
      <c r="F20" s="21">
        <v>0</v>
      </c>
      <c r="G20">
        <v>5.0000000000000001E-3</v>
      </c>
      <c r="H20" s="17">
        <f>IF(F20&gt;D20,SUM((F20-D20)/10,0)*G20,0)</f>
        <v>0</v>
      </c>
    </row>
    <row r="21" spans="1:8" ht="14" customHeight="1" x14ac:dyDescent="0.3">
      <c r="B21" s="10">
        <v>4</v>
      </c>
      <c r="C21" t="s">
        <v>17</v>
      </c>
      <c r="D21" s="20">
        <v>10</v>
      </c>
      <c r="F21" s="21">
        <v>0</v>
      </c>
      <c r="G21">
        <v>2.9999999999999997E-4</v>
      </c>
      <c r="H21" s="17">
        <f>IF(F21&gt;D21,SUM((F21-D21)/1,0)*G21,0)</f>
        <v>0</v>
      </c>
    </row>
    <row r="22" spans="1:8" ht="14" customHeight="1" x14ac:dyDescent="0.3">
      <c r="A22" s="10" t="s">
        <v>59</v>
      </c>
      <c r="B22" s="10">
        <v>5</v>
      </c>
      <c r="C22" t="s">
        <v>18</v>
      </c>
      <c r="D22" s="20">
        <v>0.4</v>
      </c>
      <c r="E22">
        <v>56661</v>
      </c>
      <c r="F22" s="21">
        <v>0</v>
      </c>
      <c r="G22">
        <f>+E22/1000/1000</f>
        <v>5.6661000000000003E-2</v>
      </c>
      <c r="H22" s="14">
        <f>IF(Lentelė2[[#This Row],[Tarifas,
Eur/t]]="",IF(F22&gt;D22,ROUNDUP((F22-D22)/100,0)*G22,0),IF(F22&gt;D22,ROUND($G$15*(F22-D22)*(G22),3),0))</f>
        <v>0</v>
      </c>
    </row>
    <row r="23" spans="1:8" ht="14" customHeight="1" x14ac:dyDescent="0.3">
      <c r="A23" s="10" t="s">
        <v>59</v>
      </c>
      <c r="B23" s="10">
        <v>6</v>
      </c>
      <c r="C23" t="s">
        <v>19</v>
      </c>
      <c r="D23" s="20">
        <v>0.4</v>
      </c>
      <c r="E23">
        <v>56661</v>
      </c>
      <c r="F23" s="21">
        <v>0</v>
      </c>
      <c r="G23">
        <f t="shared" ref="G23:G64" si="0">+E23/1000/1000</f>
        <v>5.6661000000000003E-2</v>
      </c>
      <c r="H23" s="14">
        <f>IF(Lentelė2[[#This Row],[Tarifas,
Eur/t]]="",IF(F23&gt;D23,ROUNDUP((F23-D23)/100,0)*G23,0),IF(F23&gt;D23,ROUND($G$15*(F23-D23)*(G23),3),0))</f>
        <v>0</v>
      </c>
    </row>
    <row r="24" spans="1:8" ht="14" customHeight="1" x14ac:dyDescent="0.3">
      <c r="A24" s="10" t="s">
        <v>59</v>
      </c>
      <c r="B24" s="10">
        <v>7</v>
      </c>
      <c r="C24" t="s">
        <v>20</v>
      </c>
      <c r="D24" s="20">
        <v>0.6</v>
      </c>
      <c r="E24">
        <v>56661</v>
      </c>
      <c r="F24" s="21">
        <v>0</v>
      </c>
      <c r="G24">
        <f t="shared" si="0"/>
        <v>5.6661000000000003E-2</v>
      </c>
      <c r="H24" s="14">
        <f>IF(Lentelė2[[#This Row],[Tarifas,
Eur/t]]="",IF(F24&gt;D24,ROUNDUP((F24-D24)/100,0)*G24,0),IF(F24&gt;D24,ROUND($G$15*(F24-D24)*(G24),3),0))</f>
        <v>0</v>
      </c>
    </row>
    <row r="25" spans="1:8" ht="14" customHeight="1" x14ac:dyDescent="0.3">
      <c r="A25" s="10" t="s">
        <v>60</v>
      </c>
      <c r="B25" s="10">
        <v>8</v>
      </c>
      <c r="C25" t="s">
        <v>21</v>
      </c>
      <c r="D25" s="20">
        <v>0.1</v>
      </c>
      <c r="E25">
        <v>347511</v>
      </c>
      <c r="F25" s="21">
        <v>0</v>
      </c>
      <c r="G25">
        <f t="shared" si="0"/>
        <v>0.34751100000000001</v>
      </c>
      <c r="H25" s="14">
        <f>IF(Lentelė2[[#This Row],[Tarifas,
Eur/t]]="",IF(F25&gt;D25,ROUNDUP((F25-D25)/100,0)*G25,0),IF(F25&gt;D25,ROUND($G$15*(F25-D25)*(G25),3),0))</f>
        <v>0</v>
      </c>
    </row>
    <row r="26" spans="1:8" ht="14" customHeight="1" x14ac:dyDescent="0.3">
      <c r="A26" s="10" t="s">
        <v>61</v>
      </c>
      <c r="B26" s="10">
        <v>9</v>
      </c>
      <c r="C26" t="s">
        <v>22</v>
      </c>
      <c r="D26" s="20">
        <v>5</v>
      </c>
      <c r="E26">
        <v>12839</v>
      </c>
      <c r="F26" s="21">
        <v>0</v>
      </c>
      <c r="G26">
        <f t="shared" si="0"/>
        <v>1.2839E-2</v>
      </c>
      <c r="H26" s="14">
        <f>IF(Lentelė2[[#This Row],[Tarifas,
Eur/t]]="",IF(F26&gt;D26,ROUNDUP((F26-D26)/100,0)*G26,0),IF(F26&gt;D26,ROUND($G$15*(F26-D26)*(G26),3),0))</f>
        <v>0</v>
      </c>
    </row>
    <row r="27" spans="1:8" ht="14" customHeight="1" x14ac:dyDescent="0.3">
      <c r="A27" s="10" t="s">
        <v>62</v>
      </c>
      <c r="B27" s="10">
        <v>10</v>
      </c>
      <c r="C27" t="s">
        <v>23</v>
      </c>
      <c r="D27" s="20">
        <v>2</v>
      </c>
      <c r="E27">
        <v>1258</v>
      </c>
      <c r="F27" s="21">
        <v>0</v>
      </c>
      <c r="G27">
        <f t="shared" si="0"/>
        <v>1.258E-3</v>
      </c>
      <c r="H27" s="14">
        <f>IF(Lentelė2[[#This Row],[Tarifas,
Eur/t]]="",IF(F27&gt;D27,ROUNDUP((F27-D27)/100,0)*G27,0),IF(F27&gt;D27,ROUND($G$15*(F27-D27)*(G27),3),0))</f>
        <v>0</v>
      </c>
    </row>
    <row r="28" spans="1:8" ht="14" customHeight="1" x14ac:dyDescent="0.3">
      <c r="A28" s="10" t="s">
        <v>63</v>
      </c>
      <c r="B28" s="10">
        <v>11</v>
      </c>
      <c r="C28" t="s">
        <v>24</v>
      </c>
      <c r="D28" s="20">
        <v>2E-3</v>
      </c>
      <c r="E28">
        <v>3814146</v>
      </c>
      <c r="F28" s="21">
        <v>0</v>
      </c>
      <c r="G28">
        <f t="shared" si="0"/>
        <v>3.814146</v>
      </c>
      <c r="H28" s="14">
        <f>IF(Lentelė2[[#This Row],[Tarifas,
Eur/t]]="",IF(F28&gt;D28,ROUNDUP((F28-D28)/100,0)*G28,0),IF(F28&gt;D28,ROUND($G$15*(F28-D28)*(G28),3),0))</f>
        <v>0</v>
      </c>
    </row>
    <row r="29" spans="1:8" ht="14" customHeight="1" x14ac:dyDescent="0.3">
      <c r="A29" s="10" t="s">
        <v>63</v>
      </c>
      <c r="B29" s="10">
        <v>12</v>
      </c>
      <c r="C29" t="s">
        <v>25</v>
      </c>
      <c r="D29" s="20">
        <v>0.04</v>
      </c>
      <c r="E29">
        <v>3814146</v>
      </c>
      <c r="F29" s="21">
        <v>0</v>
      </c>
      <c r="G29">
        <f t="shared" si="0"/>
        <v>3.814146</v>
      </c>
      <c r="H29" s="14">
        <f>IF(Lentelė2[[#This Row],[Tarifas,
Eur/t]]="",IF(F29&gt;D29,ROUNDUP((F29-D29)/100,0)*G29,0),IF(F29&gt;D29,ROUND($G$15*(F29-D29)*(G29),3),0))</f>
        <v>0</v>
      </c>
    </row>
    <row r="30" spans="1:8" ht="14" customHeight="1" x14ac:dyDescent="0.3">
      <c r="A30" s="10" t="s">
        <v>60</v>
      </c>
      <c r="B30" s="10">
        <v>13</v>
      </c>
      <c r="C30" t="s">
        <v>26</v>
      </c>
      <c r="D30" s="20">
        <v>0.1</v>
      </c>
      <c r="E30">
        <v>347511</v>
      </c>
      <c r="F30" s="21">
        <v>0</v>
      </c>
      <c r="G30">
        <f t="shared" si="0"/>
        <v>0.34751100000000001</v>
      </c>
      <c r="H30" s="14">
        <f>IF(Lentelė2[[#This Row],[Tarifas,
Eur/t]]="",IF(F30&gt;D30,ROUNDUP((F30-D30)/100,0)*G30,0),IF(F30&gt;D30,ROUND($G$15*(F30-D30)*(G30),3),0))</f>
        <v>0</v>
      </c>
    </row>
    <row r="31" spans="1:8" ht="14" customHeight="1" x14ac:dyDescent="0.3">
      <c r="A31" s="10" t="s">
        <v>59</v>
      </c>
      <c r="B31" s="10">
        <v>14</v>
      </c>
      <c r="C31" t="s">
        <v>27</v>
      </c>
      <c r="D31" s="20">
        <v>1</v>
      </c>
      <c r="E31">
        <v>56661</v>
      </c>
      <c r="F31" s="21">
        <v>0</v>
      </c>
      <c r="G31">
        <f t="shared" si="0"/>
        <v>5.6661000000000003E-2</v>
      </c>
      <c r="H31" s="14">
        <f>IF(Lentelė2[[#This Row],[Tarifas,
Eur/t]]="",IF(F31&gt;D31,ROUNDUP((F31-D31)/100,0)*G31,0),IF(F31&gt;D31,ROUND($G$15*(F31-D31)*(G31),3),0))</f>
        <v>0</v>
      </c>
    </row>
    <row r="32" spans="1:8" ht="14" customHeight="1" x14ac:dyDescent="0.3">
      <c r="A32" s="10" t="s">
        <v>59</v>
      </c>
      <c r="B32" s="10">
        <v>15</v>
      </c>
      <c r="C32" t="s">
        <v>28</v>
      </c>
      <c r="D32" s="20">
        <v>0.03</v>
      </c>
      <c r="E32">
        <v>56661</v>
      </c>
      <c r="F32" s="21">
        <v>0</v>
      </c>
      <c r="G32">
        <f t="shared" si="0"/>
        <v>5.6661000000000003E-2</v>
      </c>
      <c r="H32" s="14">
        <f>IF(Lentelė2[[#This Row],[Tarifas,
Eur/t]]="",IF(F32&gt;D32,ROUNDUP((F32-D32)/100,0)*G32,0),IF(F32&gt;D32,ROUND($G$15*(F32-D32)*(G32),3),0))</f>
        <v>0</v>
      </c>
    </row>
    <row r="33" spans="1:8" ht="14" customHeight="1" x14ac:dyDescent="0.3">
      <c r="A33" s="10" t="s">
        <v>59</v>
      </c>
      <c r="B33" s="10">
        <v>16</v>
      </c>
      <c r="C33" t="s">
        <v>29</v>
      </c>
      <c r="D33" s="20">
        <v>0.4</v>
      </c>
      <c r="E33">
        <v>56661</v>
      </c>
      <c r="F33" s="21">
        <v>0</v>
      </c>
      <c r="G33">
        <f t="shared" si="0"/>
        <v>5.6661000000000003E-2</v>
      </c>
      <c r="H33" s="14">
        <f>IF(Lentelė2[[#This Row],[Tarifas,
Eur/t]]="",IF(F33&gt;D33,ROUNDUP((F33-D33)/100,0)*G33,0),IF(F33&gt;D33,ROUND($G$15*(F33-D33)*(G33),3),0))</f>
        <v>0</v>
      </c>
    </row>
    <row r="34" spans="1:8" ht="14" customHeight="1" x14ac:dyDescent="0.3">
      <c r="A34" s="10" t="s">
        <v>59</v>
      </c>
      <c r="B34" s="10">
        <v>17</v>
      </c>
      <c r="C34" t="s">
        <v>30</v>
      </c>
      <c r="D34" s="20">
        <v>2</v>
      </c>
      <c r="E34">
        <v>56661</v>
      </c>
      <c r="F34" s="21">
        <v>0</v>
      </c>
      <c r="G34">
        <f t="shared" si="0"/>
        <v>5.6661000000000003E-2</v>
      </c>
      <c r="H34" s="14">
        <f>IF(Lentelė2[[#This Row],[Tarifas,
Eur/t]]="",IF(F34&gt;D34,ROUNDUP((F34-D34)/100,0)*G34,0),IF(F34&gt;D34,ROUND($G$15*(F34-D34)*(G34),3),0))</f>
        <v>0</v>
      </c>
    </row>
    <row r="35" spans="1:8" ht="14" customHeight="1" x14ac:dyDescent="0.3">
      <c r="A35" s="10" t="s">
        <v>62</v>
      </c>
      <c r="B35" s="10">
        <v>18</v>
      </c>
      <c r="C35" t="s">
        <v>31</v>
      </c>
      <c r="D35" s="20">
        <v>50</v>
      </c>
      <c r="E35">
        <v>1258</v>
      </c>
      <c r="F35" s="21">
        <v>0</v>
      </c>
      <c r="G35">
        <f t="shared" si="0"/>
        <v>1.258E-3</v>
      </c>
      <c r="H35" s="14">
        <f>IF(Lentelė2[[#This Row],[Tarifas,
Eur/t]]="",IF(F35&gt;D35,ROUNDUP((F35-D35)/100,0)*G35,0),IF(F35&gt;D35,ROUND($G$15*(F35-D35)*(G35),3),0))</f>
        <v>0</v>
      </c>
    </row>
    <row r="36" spans="1:8" ht="14" customHeight="1" x14ac:dyDescent="0.3">
      <c r="A36" s="10" t="s">
        <v>62</v>
      </c>
      <c r="B36" s="10">
        <v>19</v>
      </c>
      <c r="C36" t="s">
        <v>32</v>
      </c>
      <c r="D36" s="20">
        <v>300</v>
      </c>
      <c r="E36">
        <v>15</v>
      </c>
      <c r="F36" s="21">
        <v>0</v>
      </c>
      <c r="G36">
        <f t="shared" si="0"/>
        <v>1.4999999999999999E-5</v>
      </c>
      <c r="H36" s="14">
        <f>IF(Lentelė2[[#This Row],[Tarifas,
Eur/t]]="",IF(F36&gt;D36,ROUNDUP((F36-D36)/100,0)*G36,0),IF(F36&gt;D36,ROUND($G$15*(F36-D36)*(G36),3),0))</f>
        <v>0</v>
      </c>
    </row>
    <row r="37" spans="1:8" ht="14" customHeight="1" x14ac:dyDescent="0.3">
      <c r="A37" s="10" t="s">
        <v>62</v>
      </c>
      <c r="B37" s="10">
        <v>20</v>
      </c>
      <c r="C37" t="s">
        <v>33</v>
      </c>
      <c r="D37" s="20">
        <v>1000</v>
      </c>
      <c r="E37">
        <v>30</v>
      </c>
      <c r="F37" s="21">
        <v>0</v>
      </c>
      <c r="G37">
        <f t="shared" si="0"/>
        <v>2.9999999999999997E-5</v>
      </c>
      <c r="H37" s="14">
        <f>IF(Lentelė2[[#This Row],[Tarifas,
Eur/t]]="",IF(F37&gt;D37,ROUNDUP((F37-D37)/100,0)*G37,0),IF(F37&gt;D37,ROUND($G$15*(F37-D37)*(G37),3),0))</f>
        <v>0</v>
      </c>
    </row>
    <row r="38" spans="1:8" ht="14" customHeight="1" x14ac:dyDescent="0.3">
      <c r="A38" s="10" t="s">
        <v>60</v>
      </c>
      <c r="B38" s="10">
        <v>21</v>
      </c>
      <c r="C38" t="s">
        <v>34</v>
      </c>
      <c r="D38" s="20">
        <v>0.16</v>
      </c>
      <c r="E38">
        <v>347511</v>
      </c>
      <c r="F38" s="21">
        <v>0</v>
      </c>
      <c r="G38">
        <f t="shared" si="0"/>
        <v>0.34751100000000001</v>
      </c>
      <c r="H38" s="14">
        <f>IF(Lentelė2[[#This Row],[Tarifas,
Eur/t]]="",IF(F38&gt;D38,ROUNDUP((F38-D38)/100,0)*G38,0),IF(F38&gt;D38,ROUND($G$15*(F38-D38)*(G38),3),0))</f>
        <v>0</v>
      </c>
    </row>
    <row r="39" spans="1:8" ht="14" customHeight="1" x14ac:dyDescent="0.3">
      <c r="A39" s="10" t="s">
        <v>63</v>
      </c>
      <c r="B39" s="10">
        <v>22</v>
      </c>
      <c r="C39" t="s">
        <v>35</v>
      </c>
      <c r="D39" s="20">
        <v>2E-3</v>
      </c>
      <c r="E39">
        <v>3814146</v>
      </c>
      <c r="F39" s="21">
        <v>0</v>
      </c>
      <c r="G39">
        <f t="shared" si="0"/>
        <v>3.814146</v>
      </c>
      <c r="H39" s="14">
        <f>IF(Lentelė2[[#This Row],[Tarifas,
Eur/t]]="",IF(F39&gt;D39,ROUNDUP((F39-D39)/100,0)*G39,0),IF(F39&gt;D39,ROUND($G$15*(F39-D39)*(G39),3),0))</f>
        <v>0</v>
      </c>
    </row>
    <row r="40" spans="1:8" ht="14" customHeight="1" x14ac:dyDescent="0.3">
      <c r="A40" s="10" t="s">
        <v>60</v>
      </c>
      <c r="B40" s="10">
        <v>23</v>
      </c>
      <c r="C40" t="s">
        <v>36</v>
      </c>
      <c r="D40" s="20">
        <v>0.8</v>
      </c>
      <c r="E40">
        <v>347511</v>
      </c>
      <c r="F40" s="21">
        <v>0</v>
      </c>
      <c r="G40">
        <f t="shared" si="0"/>
        <v>0.34751100000000001</v>
      </c>
      <c r="H40" s="14">
        <f>IF(Lentelė2[[#This Row],[Tarifas,
Eur/t]]="",IF(F40&gt;D40,ROUNDUP((F40-D40)/100,0)*G40,0),IF(F40&gt;D40,ROUND($G$15*(F40-D40)*(G40),3),0))</f>
        <v>0</v>
      </c>
    </row>
    <row r="41" spans="1:8" ht="14" customHeight="1" x14ac:dyDescent="0.3">
      <c r="A41" s="10" t="s">
        <v>63</v>
      </c>
      <c r="B41" s="10">
        <v>24</v>
      </c>
      <c r="C41" t="s">
        <v>37</v>
      </c>
      <c r="D41" s="20">
        <v>5.9999999999999995E-4</v>
      </c>
      <c r="E41">
        <v>3814146</v>
      </c>
      <c r="F41" s="21">
        <v>0</v>
      </c>
      <c r="G41">
        <f t="shared" si="0"/>
        <v>3.814146</v>
      </c>
      <c r="H41" s="14">
        <f>IF(Lentelė2[[#This Row],[Tarifas,
Eur/t]]="",IF(F41&gt;D41,ROUNDUP((F41-D41)/100,0)*G41,0),IF(F41&gt;D41,ROUND($G$15*(F41-D41)*(G41),3),0))</f>
        <v>0</v>
      </c>
    </row>
    <row r="42" spans="1:8" ht="14" customHeight="1" x14ac:dyDescent="0.3">
      <c r="A42" s="10" t="s">
        <v>63</v>
      </c>
      <c r="B42" s="10">
        <v>25</v>
      </c>
      <c r="C42" t="s">
        <v>38</v>
      </c>
      <c r="D42" s="20">
        <v>2.0000000000000002E-5</v>
      </c>
      <c r="E42">
        <v>3814146</v>
      </c>
      <c r="F42" s="21">
        <v>0</v>
      </c>
      <c r="G42">
        <f t="shared" si="0"/>
        <v>3.814146</v>
      </c>
      <c r="H42" s="14">
        <f>IF(Lentelė2[[#This Row],[Tarifas,
Eur/t]]="",IF(F42&gt;D42,ROUNDUP((F42-D42)/100,0)*G42,0),IF(F42&gt;D42,ROUND($G$15*(F42-D42)*(G42),3),0))</f>
        <v>0</v>
      </c>
    </row>
    <row r="43" spans="1:8" ht="14" customHeight="1" x14ac:dyDescent="0.3">
      <c r="A43" s="10" t="s">
        <v>63</v>
      </c>
      <c r="B43" s="10">
        <v>26</v>
      </c>
      <c r="C43" t="s">
        <v>39</v>
      </c>
      <c r="D43" s="20">
        <v>2.0000000000000002E-5</v>
      </c>
      <c r="E43">
        <v>3814146</v>
      </c>
      <c r="F43" s="21">
        <v>0</v>
      </c>
      <c r="G43">
        <f t="shared" si="0"/>
        <v>3.814146</v>
      </c>
      <c r="H43" s="14">
        <f>IF(Lentelė2[[#This Row],[Tarifas,
Eur/t]]="",IF(F43&gt;D43,ROUNDUP((F43-D43)/100,0)*G43,0),IF(F43&gt;D43,ROUND($G$15*(F43-D43)*(G43),3),0))</f>
        <v>0</v>
      </c>
    </row>
    <row r="44" spans="1:8" ht="14" customHeight="1" x14ac:dyDescent="0.3">
      <c r="A44" s="10" t="s">
        <v>63</v>
      </c>
      <c r="B44" s="10">
        <v>27</v>
      </c>
      <c r="C44" t="s">
        <v>40</v>
      </c>
      <c r="D44" s="20">
        <v>2.0000000000000001E-4</v>
      </c>
      <c r="E44">
        <v>3814146</v>
      </c>
      <c r="F44" s="21">
        <v>0</v>
      </c>
      <c r="G44">
        <f t="shared" si="0"/>
        <v>3.814146</v>
      </c>
      <c r="H44" s="14">
        <f>IF(Lentelė2[[#This Row],[Tarifas,
Eur/t]]="",IF(F44&gt;D44,ROUNDUP((F44-D44)/100,0)*G44,0),IF(F44&gt;D44,ROUND($G$15*(F44-D44)*(G44),3),0))</f>
        <v>0</v>
      </c>
    </row>
    <row r="45" spans="1:8" ht="14" customHeight="1" x14ac:dyDescent="0.3">
      <c r="A45" s="10" t="s">
        <v>63</v>
      </c>
      <c r="B45" s="10">
        <v>28</v>
      </c>
      <c r="C45" t="s">
        <v>41</v>
      </c>
      <c r="D45" s="20">
        <v>1E-3</v>
      </c>
      <c r="E45">
        <v>3814146</v>
      </c>
      <c r="F45" s="21">
        <v>0</v>
      </c>
      <c r="G45">
        <f t="shared" si="0"/>
        <v>3.814146</v>
      </c>
      <c r="H45" s="14">
        <f>IF(Lentelė2[[#This Row],[Tarifas,
Eur/t]]="",IF(F45&gt;D45,ROUNDUP((F45-D45)/100,0)*G45,0),IF(F45&gt;D45,ROUND($G$15*(F45-D45)*(G45),3),0))</f>
        <v>0</v>
      </c>
    </row>
    <row r="46" spans="1:8" ht="14" customHeight="1" x14ac:dyDescent="0.3">
      <c r="A46" s="10" t="s">
        <v>63</v>
      </c>
      <c r="B46" s="10">
        <v>29</v>
      </c>
      <c r="C46" t="s">
        <v>42</v>
      </c>
      <c r="D46" s="20">
        <v>8.0000000000000004E-4</v>
      </c>
      <c r="E46">
        <v>3814146</v>
      </c>
      <c r="F46" s="21">
        <v>0</v>
      </c>
      <c r="G46">
        <f t="shared" si="0"/>
        <v>3.814146</v>
      </c>
      <c r="H46" s="14">
        <f>IF(Lentelė2[[#This Row],[Tarifas,
Eur/t]]="",IF(F46&gt;D46,ROUNDUP((F46-D46)/100,0)*G46,0),IF(F46&gt;D46,ROUND($G$15*(F46-D46)*(G46),3),0))</f>
        <v>0</v>
      </c>
    </row>
    <row r="47" spans="1:8" ht="14" customHeight="1" x14ac:dyDescent="0.3">
      <c r="A47" s="10" t="s">
        <v>63</v>
      </c>
      <c r="B47" s="10">
        <v>30</v>
      </c>
      <c r="C47" t="s">
        <v>43</v>
      </c>
      <c r="D47" s="20">
        <v>5.9999999999999995E-4</v>
      </c>
      <c r="E47">
        <v>3814146</v>
      </c>
      <c r="F47" s="21">
        <v>0</v>
      </c>
      <c r="G47">
        <f t="shared" si="0"/>
        <v>3.814146</v>
      </c>
      <c r="H47" s="14">
        <f>IF(Lentelė2[[#This Row],[Tarifas,
Eur/t]]="",IF(F47&gt;D47,ROUNDUP((F47-D47)/100,0)*G47,0),IF(F47&gt;D47,ROUND($G$15*(F47-D47)*(G47),3),0))</f>
        <v>0</v>
      </c>
    </row>
    <row r="48" spans="1:8" ht="14" customHeight="1" x14ac:dyDescent="0.3">
      <c r="A48" s="10" t="s">
        <v>63</v>
      </c>
      <c r="B48" s="10">
        <v>31</v>
      </c>
      <c r="C48" t="s">
        <v>44</v>
      </c>
      <c r="D48" s="20">
        <v>8.0000000000000004E-4</v>
      </c>
      <c r="E48">
        <v>3814146</v>
      </c>
      <c r="F48" s="21">
        <v>0</v>
      </c>
      <c r="G48">
        <f t="shared" si="0"/>
        <v>3.814146</v>
      </c>
      <c r="H48" s="14">
        <f>IF(Lentelė2[[#This Row],[Tarifas,
Eur/t]]="",IF(F48&gt;D48,ROUNDUP((F48-D48)/100,0)*G48,0),IF(F48&gt;D48,ROUND($G$15*(F48-D48)*(G48),3),0))</f>
        <v>0</v>
      </c>
    </row>
    <row r="49" spans="1:8" ht="14" customHeight="1" x14ac:dyDescent="0.3">
      <c r="A49" s="10" t="s">
        <v>60</v>
      </c>
      <c r="B49" s="10">
        <v>32</v>
      </c>
      <c r="C49" t="s">
        <v>45</v>
      </c>
      <c r="D49" s="20">
        <v>2.4E-2</v>
      </c>
      <c r="E49">
        <v>347511</v>
      </c>
      <c r="F49" s="21">
        <v>0</v>
      </c>
      <c r="G49">
        <f t="shared" si="0"/>
        <v>0.34751100000000001</v>
      </c>
      <c r="H49" s="14">
        <f>IF(Lentelė2[[#This Row],[Tarifas,
Eur/t]]="",IF(F49&gt;D49,ROUNDUP((F49-D49)/100,0)*G49,0),IF(F49&gt;D49,ROUND($G$15*(F49-D49)*(G49),3),0))</f>
        <v>0</v>
      </c>
    </row>
    <row r="50" spans="1:8" ht="14" customHeight="1" x14ac:dyDescent="0.3">
      <c r="A50" s="10" t="s">
        <v>63</v>
      </c>
      <c r="B50" s="10">
        <v>33</v>
      </c>
      <c r="C50" t="s">
        <v>46</v>
      </c>
      <c r="D50" s="20">
        <v>8.0000000000000004E-4</v>
      </c>
      <c r="E50">
        <v>3814146</v>
      </c>
      <c r="F50" s="21">
        <v>0</v>
      </c>
      <c r="G50">
        <f t="shared" si="0"/>
        <v>3.814146</v>
      </c>
      <c r="H50" s="14">
        <f>IF(Lentelė2[[#This Row],[Tarifas,
Eur/t]]="",IF(F50&gt;D50,ROUNDUP((F50-D50)/100,0)*G50,0),IF(F50&gt;D50,ROUND($G$15*(F50-D50)*(G50),3),0))</f>
        <v>0</v>
      </c>
    </row>
    <row r="51" spans="1:8" ht="14" customHeight="1" x14ac:dyDescent="0.3">
      <c r="A51" s="10" t="s">
        <v>60</v>
      </c>
      <c r="B51" s="10">
        <v>34</v>
      </c>
      <c r="C51" t="s">
        <v>47</v>
      </c>
      <c r="D51" s="20">
        <v>0.08</v>
      </c>
      <c r="E51">
        <v>347511</v>
      </c>
      <c r="F51" s="21">
        <v>0</v>
      </c>
      <c r="G51">
        <f t="shared" si="0"/>
        <v>0.34751100000000001</v>
      </c>
      <c r="H51" s="14">
        <f>IF(Lentelė2[[#This Row],[Tarifas,
Eur/t]]="",IF(F51&gt;D51,ROUNDUP((F51-D51)/100,0)*G51,0),IF(F51&gt;D51,ROUND($G$15*(F51-D51)*(G51),3),0))</f>
        <v>0</v>
      </c>
    </row>
    <row r="52" spans="1:8" ht="14" customHeight="1" x14ac:dyDescent="0.3">
      <c r="A52" s="10" t="s">
        <v>63</v>
      </c>
      <c r="B52" s="10">
        <v>35</v>
      </c>
      <c r="C52" t="s">
        <v>48</v>
      </c>
      <c r="D52" s="20">
        <v>2E-3</v>
      </c>
      <c r="E52">
        <v>3814146</v>
      </c>
      <c r="F52" s="21">
        <v>0</v>
      </c>
      <c r="G52">
        <f t="shared" si="0"/>
        <v>3.814146</v>
      </c>
      <c r="H52" s="14">
        <f>IF(Lentelė2[[#This Row],[Tarifas,
Eur/t]]="",IF(F52&gt;D52,ROUNDUP((F52-D52)/100,0)*G52,0),IF(F52&gt;D52,ROUND($G$15*(F52-D52)*(G52),3),0))</f>
        <v>0</v>
      </c>
    </row>
    <row r="53" spans="1:8" ht="14" customHeight="1" x14ac:dyDescent="0.3">
      <c r="A53" s="10" t="s">
        <v>63</v>
      </c>
      <c r="B53" s="10">
        <v>36</v>
      </c>
      <c r="C53" t="s">
        <v>66</v>
      </c>
      <c r="D53" s="20">
        <v>0.02</v>
      </c>
      <c r="E53">
        <v>3814146</v>
      </c>
      <c r="F53" s="21">
        <v>0</v>
      </c>
      <c r="G53">
        <f t="shared" si="0"/>
        <v>3.814146</v>
      </c>
      <c r="H53" s="14">
        <f>IF(Lentelė2[[#This Row],[Tarifas,
Eur/t]]="",IF(F53&gt;D53,ROUNDUP((F53-D53)/100,0)*G53,0),IF(F53&gt;D53,ROUND($G$15*(F53-D53)*(G53),3),0))</f>
        <v>0</v>
      </c>
    </row>
    <row r="54" spans="1:8" ht="14" customHeight="1" x14ac:dyDescent="0.3">
      <c r="A54" s="10" t="s">
        <v>63</v>
      </c>
      <c r="B54" s="10">
        <v>37</v>
      </c>
      <c r="C54" t="s">
        <v>49</v>
      </c>
      <c r="D54" s="20">
        <v>2E-3</v>
      </c>
      <c r="E54">
        <v>3814146</v>
      </c>
      <c r="F54" s="21">
        <v>0</v>
      </c>
      <c r="G54">
        <f t="shared" si="0"/>
        <v>3.814146</v>
      </c>
      <c r="H54" s="14">
        <f>IF(Lentelė2[[#This Row],[Tarifas,
Eur/t]]="",IF(F54&gt;D54,ROUNDUP((F54-D54)/100,0)*G54,0),IF(F54&gt;D54,ROUND($G$15*(F54-D54)*(G54),3),0))</f>
        <v>0</v>
      </c>
    </row>
    <row r="55" spans="1:8" ht="14" customHeight="1" x14ac:dyDescent="0.3">
      <c r="A55" s="10" t="s">
        <v>60</v>
      </c>
      <c r="B55" s="10">
        <v>38</v>
      </c>
      <c r="C55" t="s">
        <v>50</v>
      </c>
      <c r="D55" s="20">
        <v>0.04</v>
      </c>
      <c r="E55">
        <v>347511</v>
      </c>
      <c r="F55" s="21">
        <v>0</v>
      </c>
      <c r="G55">
        <f t="shared" si="0"/>
        <v>0.34751100000000001</v>
      </c>
      <c r="H55" s="14">
        <f>IF(Lentelė2[[#This Row],[Tarifas,
Eur/t]]="",IF(F55&gt;D55,ROUNDUP((F55-D55)/100,0)*G55,0),IF(F55&gt;D55,ROUND($G$15*(F55-D55)*(G55),3),0))</f>
        <v>0</v>
      </c>
    </row>
    <row r="56" spans="1:8" ht="14" customHeight="1" x14ac:dyDescent="0.3">
      <c r="A56" s="10" t="s">
        <v>59</v>
      </c>
      <c r="B56" s="10">
        <v>39</v>
      </c>
      <c r="C56" t="s">
        <v>51</v>
      </c>
      <c r="D56" s="20">
        <v>0.6</v>
      </c>
      <c r="E56">
        <v>12839</v>
      </c>
      <c r="F56" s="21">
        <v>0</v>
      </c>
      <c r="G56">
        <f t="shared" si="0"/>
        <v>1.2839E-2</v>
      </c>
      <c r="H56" s="14">
        <f>IF(Lentelė2[[#This Row],[Tarifas,
Eur/t]]="",IF(F56&gt;D56,ROUNDUP((F56-D56)/100,0)*G56,0),IF(F56&gt;D56,ROUND($G$15*(F56-D56)*(G56),3),0))</f>
        <v>0</v>
      </c>
    </row>
    <row r="57" spans="1:8" ht="14" customHeight="1" x14ac:dyDescent="0.3">
      <c r="A57" s="10" t="s">
        <v>59</v>
      </c>
      <c r="B57" s="10">
        <v>40</v>
      </c>
      <c r="C57" t="s">
        <v>52</v>
      </c>
      <c r="D57" s="20">
        <v>0.4</v>
      </c>
      <c r="E57">
        <v>12839</v>
      </c>
      <c r="F57" s="21">
        <v>0</v>
      </c>
      <c r="G57">
        <f t="shared" si="0"/>
        <v>1.2839E-2</v>
      </c>
      <c r="H57" s="14">
        <f>IF(Lentelė2[[#This Row],[Tarifas,
Eur/t]]="",IF(F57&gt;D57,ROUNDUP((F57-D57)/100,0)*G57,0),IF(F57&gt;D57,ROUND($G$15*(F57-D57)*(G57),3),0))</f>
        <v>0</v>
      </c>
    </row>
    <row r="58" spans="1:8" ht="14" customHeight="1" x14ac:dyDescent="0.3">
      <c r="A58" s="10" t="s">
        <v>59</v>
      </c>
      <c r="B58" s="10">
        <v>41</v>
      </c>
      <c r="C58" t="s">
        <v>53</v>
      </c>
      <c r="D58" s="20">
        <v>0.12</v>
      </c>
      <c r="E58">
        <v>12839</v>
      </c>
      <c r="F58" s="21">
        <v>0</v>
      </c>
      <c r="G58">
        <f t="shared" si="0"/>
        <v>1.2839E-2</v>
      </c>
      <c r="H58" s="14">
        <f>IF(Lentelė2[[#This Row],[Tarifas,
Eur/t]]="",IF(F58&gt;D58,ROUNDUP((F58-D58)/100,0)*G58,0),IF(F58&gt;D58,ROUND($G$15*(F58-D58)*(G58),3),0))</f>
        <v>0</v>
      </c>
    </row>
    <row r="59" spans="1:8" ht="14" customHeight="1" x14ac:dyDescent="0.3">
      <c r="A59" s="10" t="s">
        <v>59</v>
      </c>
      <c r="B59" s="10">
        <v>42</v>
      </c>
      <c r="C59" t="s">
        <v>54</v>
      </c>
      <c r="D59" s="20">
        <v>0.1</v>
      </c>
      <c r="E59">
        <v>12839</v>
      </c>
      <c r="F59" s="21">
        <v>0</v>
      </c>
      <c r="G59">
        <f t="shared" si="0"/>
        <v>1.2839E-2</v>
      </c>
      <c r="H59" s="14">
        <f>IF(Lentelė2[[#This Row],[Tarifas,
Eur/t]]="",IF(F59&gt;D59,ROUNDUP((F59-D59)/100,0)*G59,0),IF(F59&gt;D59,ROUND($G$15*(F59-D59)*(G59),3),0))</f>
        <v>0</v>
      </c>
    </row>
    <row r="60" spans="1:8" ht="14" customHeight="1" x14ac:dyDescent="0.3">
      <c r="A60" s="10" t="s">
        <v>62</v>
      </c>
      <c r="B60" s="10">
        <v>43</v>
      </c>
      <c r="C60" t="s">
        <v>55</v>
      </c>
      <c r="D60" s="20">
        <v>2</v>
      </c>
      <c r="E60">
        <v>1258</v>
      </c>
      <c r="F60" s="21">
        <v>0</v>
      </c>
      <c r="G60">
        <f t="shared" si="0"/>
        <v>1.258E-3</v>
      </c>
      <c r="H60" s="14">
        <f>IF(Lentelė2[[#This Row],[Tarifas,
Eur/t]]="",IF(F60&gt;D60,ROUNDUP((F60-D60)/100,0)*G60,0),IF(F60&gt;D60,ROUND($G$15*(F60-D60)*(G60),3),0))</f>
        <v>0</v>
      </c>
    </row>
    <row r="61" spans="1:8" ht="14" customHeight="1" x14ac:dyDescent="0.3">
      <c r="A61" s="10" t="s">
        <v>59</v>
      </c>
      <c r="B61" s="10">
        <v>44</v>
      </c>
      <c r="C61" t="s">
        <v>56</v>
      </c>
      <c r="D61" s="20">
        <v>0.01</v>
      </c>
      <c r="E61">
        <v>12839</v>
      </c>
      <c r="F61" s="21">
        <v>0</v>
      </c>
      <c r="G61">
        <f t="shared" si="0"/>
        <v>1.2839E-2</v>
      </c>
      <c r="H61" s="14">
        <f>IF(Lentelė2[[#This Row],[Tarifas,
Eur/t]]="",IF(F61&gt;D61,ROUNDUP((F61-D61)/100,0)*G61,0),IF(F61&gt;D61,ROUND($G$15*(F61-D61)*(G61),3),0))</f>
        <v>0</v>
      </c>
    </row>
    <row r="62" spans="1:8" ht="14" customHeight="1" x14ac:dyDescent="0.3">
      <c r="A62" s="10" t="s">
        <v>62</v>
      </c>
      <c r="B62" s="10">
        <v>45</v>
      </c>
      <c r="C62" t="s">
        <v>57</v>
      </c>
      <c r="D62" s="20">
        <v>3</v>
      </c>
      <c r="E62">
        <v>1258</v>
      </c>
      <c r="F62" s="21">
        <v>0</v>
      </c>
      <c r="G62">
        <f t="shared" si="0"/>
        <v>1.258E-3</v>
      </c>
      <c r="H62" s="14">
        <f>IF(Lentelė2[[#This Row],[Tarifas,
Eur/t]]="",IF(F62&gt;D62,ROUNDUP((F62-D62)/100,0)*G62,0),IF(F62&gt;D62,ROUND($G$15*(F62-D62)*(G62),3),0))</f>
        <v>0</v>
      </c>
    </row>
    <row r="63" spans="1:8" ht="14" customHeight="1" x14ac:dyDescent="0.3">
      <c r="A63" s="10" t="s">
        <v>63</v>
      </c>
      <c r="B63" s="10">
        <v>46</v>
      </c>
      <c r="C63" t="s">
        <v>58</v>
      </c>
      <c r="D63" s="20">
        <v>5.0000000000000001E-4</v>
      </c>
      <c r="E63">
        <v>3814146</v>
      </c>
      <c r="F63" s="21">
        <v>0</v>
      </c>
      <c r="G63">
        <f t="shared" si="0"/>
        <v>3.814146</v>
      </c>
      <c r="H63" s="14">
        <f>IF(Lentelė2[[#This Row],[Tarifas,
Eur/t]]="",IF(F63&gt;D63,ROUNDUP((F63-D63)/100,0)*G63,0),IF(F63&gt;D63,ROUND($G$15*(F63-D63)*(G63),3),0))</f>
        <v>0</v>
      </c>
    </row>
    <row r="64" spans="1:8" ht="14" customHeight="1" x14ac:dyDescent="0.3">
      <c r="A64" s="10" t="s">
        <v>60</v>
      </c>
      <c r="B64" s="10">
        <v>47</v>
      </c>
      <c r="C64" t="s">
        <v>67</v>
      </c>
      <c r="D64" s="20">
        <v>0.08</v>
      </c>
      <c r="E64">
        <v>347511</v>
      </c>
      <c r="F64" s="21">
        <v>0</v>
      </c>
      <c r="G64">
        <f t="shared" si="0"/>
        <v>0.34751100000000001</v>
      </c>
      <c r="H64" s="14">
        <f>IF(Lentelė2[[#This Row],[Tarifas,
Eur/t]]="",IF(F64&gt;D64,ROUNDUP((F64-D64)/100,0)*G64,0),IF(F64&gt;D64,ROUND($G$15*(F64-D64)*(G64),3),0))</f>
        <v>0</v>
      </c>
    </row>
  </sheetData>
  <sheetProtection algorithmName="SHA-512" hashValue="bUp/aJCpsQNNiG46bwGw4i5tkc0zoTKO3v5pc775PnspuHzqePsQXJrOpXsv4X3f5jFUhQYDntbWnKr/S2iy7w==" saltValue="uBtVFPILXbk1H7KgaTG33Q==" spinCount="100000" sheet="1" objects="1" scenarios="1"/>
  <mergeCells count="10">
    <mergeCell ref="A13:E13"/>
    <mergeCell ref="F13:G13"/>
    <mergeCell ref="F14:G14"/>
    <mergeCell ref="C15:F15"/>
    <mergeCell ref="A7:G7"/>
    <mergeCell ref="A9:B9"/>
    <mergeCell ref="D9:E9"/>
    <mergeCell ref="A11:E11"/>
    <mergeCell ref="F11:G11"/>
    <mergeCell ref="F12:G12"/>
  </mergeCells>
  <dataValidations count="1">
    <dataValidation type="whole" allowBlank="1" showInputMessage="1" showErrorMessage="1" sqref="D10 E17" xr:uid="{1E83280E-044D-4157-B451-D4C97F566155}">
      <formula1>0</formula1>
      <formula2>1000</formula2>
    </dataValidation>
  </dataValidations>
  <pageMargins left="0.7" right="0.7" top="0.75" bottom="0.75" header="0.3" footer="0.3"/>
  <ignoredErrors>
    <ignoredError sqref="G18:G21 H18:H21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Skaičiavimas pagal sutartį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Valentinienė</dc:creator>
  <cp:lastModifiedBy>Erika Valentinienė</cp:lastModifiedBy>
  <dcterms:created xsi:type="dcterms:W3CDTF">2026-06-22T10:10:33Z</dcterms:created>
  <dcterms:modified xsi:type="dcterms:W3CDTF">2026-06-25T05:37:14Z</dcterms:modified>
</cp:coreProperties>
</file>